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Economic Justice (non-SSI or CAPI)\CalFresh\CalFresh calculator\"/>
    </mc:Choice>
  </mc:AlternateContent>
  <xr:revisionPtr revIDLastSave="0" documentId="8_{27ED4F1C-102D-44E5-AA38-E1E537D8E548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4" i="1" l="1"/>
  <c r="B84" i="1"/>
  <c r="B44" i="1"/>
  <c r="B56" i="1" l="1"/>
  <c r="B37" i="1" l="1"/>
  <c r="B60" i="1" l="1"/>
  <c r="B14" i="1" l="1"/>
  <c r="B29" i="1" s="1"/>
  <c r="B62" i="1"/>
  <c r="B47" i="1" l="1"/>
  <c r="B43" i="1"/>
  <c r="B31" i="1"/>
  <c r="B33" i="1" s="1"/>
  <c r="B18" i="1" l="1"/>
  <c r="B103" i="1"/>
  <c r="B105" i="1" s="1"/>
  <c r="B22" i="1" l="1"/>
  <c r="B24" i="1" s="1"/>
  <c r="B35" i="1"/>
  <c r="B50" i="1" s="1"/>
  <c r="B64" i="1" s="1"/>
  <c r="B66" i="1" s="1"/>
  <c r="B68" i="1" s="1"/>
  <c r="B74" i="1" s="1"/>
  <c r="B76" i="1" s="1"/>
  <c r="B80" i="1" l="1"/>
  <c r="B82" i="1" s="1"/>
  <c r="B87" i="1" l="1"/>
  <c r="B90" i="1" l="1"/>
  <c r="B92" i="1"/>
  <c r="B94" i="1" l="1"/>
  <c r="B107" i="1" s="1"/>
  <c r="B109" i="1" s="1"/>
  <c r="B110" i="1" s="1"/>
  <c r="B112" i="1" s="1"/>
</calcChain>
</file>

<file path=xl/sharedStrings.xml><?xml version="1.0" encoding="utf-8"?>
<sst xmlns="http://schemas.openxmlformats.org/spreadsheetml/2006/main" count="157" uniqueCount="145">
  <si>
    <r>
      <rPr>
        <b/>
        <sz val="12"/>
        <rFont val="Aptos Narrow"/>
        <family val="2"/>
        <charset val="1"/>
      </rPr>
      <t>*Note:</t>
    </r>
    <r>
      <rPr>
        <sz val="12"/>
        <rFont val="Aptos Narrow"/>
        <family val="2"/>
        <charset val="1"/>
      </rPr>
      <t xml:space="preserve"> This calculator automatically assigns a SUA pursuant to CA's "Heat &amp; Eat" option rules &amp; standard medical deduction. </t>
    </r>
  </si>
  <si>
    <t>I. Gross Income Eligibility Test</t>
  </si>
  <si>
    <t>Are any members of the household a senior or disabled?</t>
  </si>
  <si>
    <t>Y or N</t>
  </si>
  <si>
    <t>A1 (b). Gross Monthly Earned Income for Ineligible Noncitizen HH (or SSN/citizenship Un-Cooperative) Members:</t>
  </si>
  <si>
    <t>A1.   Gross Monthly Earned Income of all Members in Household</t>
  </si>
  <si>
    <t>(A1)</t>
  </si>
  <si>
    <t xml:space="preserve">Do not include any income from a person ineligible due to Student Rule or ABAWD Time Limit - the whole amount is NOT listed/that person is NOT eligible. </t>
  </si>
  <si>
    <t>A2 (b). Gross Monthly Un-Earned Income for Ineligible Noncitizen HH Members:</t>
  </si>
  <si>
    <t>A2.   Gross Monthly Un-Earned Income of all Members in Household</t>
  </si>
  <si>
    <t>(A2)</t>
  </si>
  <si>
    <t xml:space="preserve">B. Amount PAID in child support by Eligible CF HH Member </t>
  </si>
  <si>
    <t>(B)</t>
  </si>
  <si>
    <t>200% FPL</t>
  </si>
  <si>
    <t xml:space="preserve">Household Size </t>
  </si>
  <si>
    <t>For each additional household member add…</t>
  </si>
  <si>
    <t>C.   Gross Monthly Income</t>
  </si>
  <si>
    <t>(C)</t>
  </si>
  <si>
    <t>Maximum Gross Limit</t>
  </si>
  <si>
    <t>Does the family's gross income fall under the 200% gross income test?</t>
  </si>
  <si>
    <t>II. Net Income Eligibility Test</t>
  </si>
  <si>
    <t xml:space="preserve">D.   Gross Monthly Earned Income - Pro-rated (A1) </t>
  </si>
  <si>
    <t>(D)</t>
  </si>
  <si>
    <t>E.   Earned Income Deduction [20% of D]</t>
  </si>
  <si>
    <t>(E)</t>
  </si>
  <si>
    <t>F.   Net Earned Income (D) - (E)</t>
  </si>
  <si>
    <t>(F)</t>
  </si>
  <si>
    <t xml:space="preserve">G.   Add Unearned Income (A2) to Net Earned Income (F) Subtract (B). </t>
  </si>
  <si>
    <t>(G)</t>
  </si>
  <si>
    <t>Household Size</t>
  </si>
  <si>
    <t>1,2,3</t>
  </si>
  <si>
    <t>6+</t>
  </si>
  <si>
    <t>H.   Enter the Standard Deduction</t>
  </si>
  <si>
    <t>(H)</t>
  </si>
  <si>
    <t>Standard Deduction</t>
  </si>
  <si>
    <t>I.   Enter Dependent Care Deduction: Total $ paid in child care or adult care by Eligible HH Member (self-certified)</t>
  </si>
  <si>
    <t>(I)</t>
  </si>
  <si>
    <t xml:space="preserve">If these expenses are shared among eligible and inelgible hh members - use pro-rated percentage. </t>
  </si>
  <si>
    <t>J. Monthly medical expenses: ONLY for senior or disabled member applying for CalFresh</t>
  </si>
  <si>
    <t>J2. Excess Medical Deduction = J - $35</t>
  </si>
  <si>
    <t>(J)</t>
  </si>
  <si>
    <t xml:space="preserve">For more about Medical Deductions, see: http://calfresh.guide/medical-expense-deductions/ </t>
  </si>
  <si>
    <t>K.   Homeless Shelter Deduction - Only if applicable</t>
  </si>
  <si>
    <t>(K)</t>
  </si>
  <si>
    <t>(L)</t>
  </si>
  <si>
    <t>M. Shelter Deduction</t>
  </si>
  <si>
    <t>M1   Housing Costs (i.e. rent, mortgage, taxes, insurance, etc.) Paid by person with eligible cit/noncit status.</t>
  </si>
  <si>
    <t>(M)1</t>
  </si>
  <si>
    <t>M2   Housing Costs (i.e. rent, mortgage, taxes, insurance, etc.) Paid by ineligible noncitizen person.</t>
  </si>
  <si>
    <t>(M)2</t>
  </si>
  <si>
    <t>M3</t>
  </si>
  <si>
    <t>N1.   Utility Deduction  - Note: Calculator Applies "Heat &amp; Eat" Provision w/ State SUAS</t>
  </si>
  <si>
    <t>(N)</t>
  </si>
  <si>
    <t xml:space="preserve">N2.  Calculation of Utility Allowance - Automatically Entered for All Households </t>
  </si>
  <si>
    <t>O.   Adjusted Shelter Costs (M3+N)</t>
  </si>
  <si>
    <t>(O)</t>
  </si>
  <si>
    <t>Utility Cost</t>
  </si>
  <si>
    <t>SUA</t>
  </si>
  <si>
    <t>LUA</t>
  </si>
  <si>
    <t>TUA</t>
  </si>
  <si>
    <t>Deduction</t>
  </si>
  <si>
    <t>P.   ½ of Adjusted Income (L)</t>
  </si>
  <si>
    <t>(P)</t>
  </si>
  <si>
    <t>Q.   Shelter cost difference (subtract line P from O)</t>
  </si>
  <si>
    <t>(Q)</t>
  </si>
  <si>
    <t>R.   Excess Shelter Deduction Enter (1) or (2)</t>
  </si>
  <si>
    <t>(R)</t>
  </si>
  <si>
    <t>Shelter Deduction Maximum</t>
  </si>
  <si>
    <t xml:space="preserve">      (1) For Non-elderly, Non-Disabled Shelter cost difference (Q) or Shelter Deduction Maximum,</t>
  </si>
  <si>
    <t>For non-Elderly &amp; Disabled Only</t>
  </si>
  <si>
    <r>
      <rPr>
        <sz val="12"/>
        <rFont val="Aptos Narrow"/>
        <family val="2"/>
        <charset val="1"/>
      </rPr>
      <t xml:space="preserve">           whichever </t>
    </r>
    <r>
      <rPr>
        <b/>
        <sz val="12"/>
        <rFont val="Aptos Narrow"/>
        <family val="2"/>
        <charset val="1"/>
      </rPr>
      <t>smaller</t>
    </r>
  </si>
  <si>
    <t xml:space="preserve">      (2) Full shelter cost difference (Q) if elderly or disabled member in CalFresh household</t>
  </si>
  <si>
    <t xml:space="preserve">If (S) exceeds Max. 100% Net Income Limit, HH is ineligibile. </t>
  </si>
  <si>
    <t xml:space="preserve">S.   Monthly Net Income </t>
  </si>
  <si>
    <t xml:space="preserve">      Subtract Excess Shelter Deduction (R1 or R2) from Adjusted Income (L)</t>
  </si>
  <si>
    <t>(S)</t>
  </si>
  <si>
    <t>Max. Net Income Limit</t>
  </si>
  <si>
    <t>Does the family's net income meet net income test?</t>
  </si>
  <si>
    <t>IF "NO" STOP HERE</t>
  </si>
  <si>
    <t xml:space="preserve">III. CalFresh Allotment </t>
  </si>
  <si>
    <t>T.   Multiply the Household's Net Income (S) by 0.3</t>
  </si>
  <si>
    <t>(T)</t>
  </si>
  <si>
    <t>U.   Adjusted Food Income (round up to next $)</t>
  </si>
  <si>
    <t>(U)</t>
  </si>
  <si>
    <t>V.   Max. CalFresh Allotment for Family Size</t>
  </si>
  <si>
    <t>(V)</t>
  </si>
  <si>
    <t xml:space="preserve">       If (U) higher than (V) - HH of 3+ not eligible for CalFresh</t>
  </si>
  <si>
    <t>Max. CalFresh Allotment</t>
  </si>
  <si>
    <t xml:space="preserve">    </t>
  </si>
  <si>
    <t xml:space="preserve">W. Amount in CalFresh </t>
  </si>
  <si>
    <t>(W)</t>
  </si>
  <si>
    <t xml:space="preserve">X.   For HH of 3+, </t>
  </si>
  <si>
    <t xml:space="preserve">       add $1 if (W) is $1, $3 or $5.</t>
  </si>
  <si>
    <t>(X)</t>
  </si>
  <si>
    <t>(Y)</t>
  </si>
  <si>
    <t>Z.   Monthly CalFresh Allotment:</t>
  </si>
  <si>
    <t>(Z)</t>
  </si>
  <si>
    <t>IV. Pro Rated First Month's Allotment</t>
  </si>
  <si>
    <t>Enter the number of days in the month plus 1</t>
  </si>
  <si>
    <t>Day of the month the household applied for CalFresh:</t>
  </si>
  <si>
    <t>AA.   Subtract the day of the month the household applied</t>
  </si>
  <si>
    <t>(AA)</t>
  </si>
  <si>
    <t>AB.   Divide by 30</t>
  </si>
  <si>
    <t>(AB)</t>
  </si>
  <si>
    <t>AC.   Multiply (AB) by (Z)</t>
  </si>
  <si>
    <t>(AC)</t>
  </si>
  <si>
    <t>AD.   Unrounded CalFresh allotment:</t>
  </si>
  <si>
    <t>(AD)</t>
  </si>
  <si>
    <t xml:space="preserve">        Round down to next whole dollar:</t>
  </si>
  <si>
    <t xml:space="preserve">         First Month's CalFresh Allotment</t>
  </si>
  <si>
    <t>Monthly Interim Report Threshold (IRT)</t>
  </si>
  <si>
    <t>130% FPL</t>
  </si>
  <si>
    <t xml:space="preserve">Interim Report Threshold </t>
  </si>
  <si>
    <r>
      <t xml:space="preserve">A2 (a). Gross Monthly Un-Earned Income for HH Members with Eligible Immigration Status </t>
    </r>
    <r>
      <rPr>
        <sz val="12"/>
        <color rgb="FFFF0000"/>
        <rFont val="Aptos Narrow"/>
        <family val="2"/>
      </rPr>
      <t>Including Income of Sanctioned Ineligible</t>
    </r>
    <r>
      <rPr>
        <sz val="12"/>
        <rFont val="Aptos Narrow"/>
        <family val="2"/>
        <charset val="1"/>
      </rPr>
      <t>:</t>
    </r>
  </si>
  <si>
    <r>
      <t>HH(a): Number of people in the "purchase &amp; prepare together" household</t>
    </r>
    <r>
      <rPr>
        <sz val="12"/>
        <rFont val="Aptos Narrow"/>
        <family val="2"/>
      </rPr>
      <t xml:space="preserve"> (see Column D note):</t>
    </r>
  </si>
  <si>
    <t xml:space="preserve">Need to know in order to pro-rate shelter expenses appropriately. </t>
  </si>
  <si>
    <t>Definition of Elderly or Disabled Household</t>
  </si>
  <si>
    <r>
      <t xml:space="preserve">HH(c): Number of these people ineligible for reasons </t>
    </r>
    <r>
      <rPr>
        <b/>
        <i/>
        <u/>
        <sz val="12"/>
        <rFont val="Aptos Narrow"/>
        <family val="2"/>
        <charset val="1"/>
      </rPr>
      <t>other than</t>
    </r>
    <r>
      <rPr>
        <b/>
        <sz val="12"/>
        <rFont val="Aptos Narrow"/>
        <family val="2"/>
        <charset val="1"/>
      </rPr>
      <t xml:space="preserve"> ineligible because of: sanction or immigration status?</t>
    </r>
  </si>
  <si>
    <r>
      <t xml:space="preserve">HH(b): Number of these people who have a qualifying citizen/noncitizen status and applying w/household? </t>
    </r>
    <r>
      <rPr>
        <sz val="12"/>
        <rFont val="Aptos Narrow"/>
        <family val="2"/>
      </rPr>
      <t>(see Column D note)</t>
    </r>
  </si>
  <si>
    <r>
      <t>Note:</t>
    </r>
    <r>
      <rPr>
        <sz val="12"/>
        <rFont val="Aptos Narrow"/>
        <family val="2"/>
        <charset val="1"/>
      </rPr>
      <t xml:space="preserve"> if less meets Net Income Test, but HH size is less than 3 and (W) is less than $23, then they will receive minimum benefit of $23</t>
    </r>
  </si>
  <si>
    <t>Enter only the expenses of senior or disabled members of CalFresh HH who are eligible &amp; applying for CalFresh.</t>
  </si>
  <si>
    <t>J3. Standard Medical Deduction of $150 minimally</t>
  </si>
  <si>
    <t>Source: https://cdss.ca.gov/Portals/9/Additional-Resources/Letters-and-Notices/ACINs/2024/I-45_24.pdf?ver=2024-09-23-131451-143</t>
  </si>
  <si>
    <t>Source:  https://cdss.ca.gov/Portals/9/Additional-Resources/Letters-and-Notices/ACINs/2024/I-45_24.pdf?ver=2024-09-23-131451-143</t>
  </si>
  <si>
    <r>
      <t>*Note</t>
    </r>
    <r>
      <rPr>
        <sz val="12"/>
        <rFont val="Aptos Narrow"/>
        <family val="2"/>
        <charset val="1"/>
      </rPr>
      <t>: This calculator is designed to give an estimate that is accurate for most CalFresh and/or CFAP scenarios. There are other rules and regulations to consider when determining eligiblity. This calculator does not provide legal advice.</t>
    </r>
  </si>
  <si>
    <r>
      <t>Include</t>
    </r>
    <r>
      <rPr>
        <i/>
        <sz val="12"/>
        <rFont val="Aptos Narrow"/>
        <family val="2"/>
        <charset val="1"/>
      </rPr>
      <t xml:space="preserve"> people on SSI, but</t>
    </r>
    <r>
      <rPr>
        <b/>
        <i/>
        <u/>
        <sz val="12"/>
        <rFont val="Aptos Narrow"/>
        <family val="2"/>
        <charset val="1"/>
      </rPr>
      <t xml:space="preserve"> DO NOT Include</t>
    </r>
    <r>
      <rPr>
        <i/>
        <sz val="12"/>
        <rFont val="Aptos Narrow"/>
        <family val="2"/>
        <charset val="1"/>
      </rPr>
      <t xml:space="preserve"> ineligible students, sanctioned hh members, an ineligible ABAWD or any ineligible noncitizen or "uncooperative" members in "eat &amp; prepare together" household. </t>
    </r>
    <r>
      <rPr>
        <b/>
        <i/>
        <sz val="12"/>
        <color rgb="FFFF0000"/>
        <rFont val="Aptos Narrow"/>
        <family val="2"/>
      </rPr>
      <t>This number must not be zero or the calculator will not work.</t>
    </r>
  </si>
  <si>
    <t>Updated: October 2024</t>
  </si>
  <si>
    <t>For questions or errata, contact Lisa Newstrom, lnewstrom@baylegal.org</t>
  </si>
  <si>
    <t>The state guidance for this calculator can be found here</t>
  </si>
  <si>
    <t>The federal guidance for this calculator can be found here</t>
  </si>
  <si>
    <t xml:space="preserve"> Y.   For HH of 1-2, enter $23 if the Adjusted Food Income (U) is greater  than the Max. CalFresh Allotment or if (V) is less than $23.00.</t>
  </si>
  <si>
    <r>
      <rPr>
        <b/>
        <sz val="12"/>
        <rFont val="Aptos Narrow"/>
        <family val="2"/>
      </rPr>
      <t>NOTE:</t>
    </r>
    <r>
      <rPr>
        <sz val="12"/>
        <rFont val="Aptos Narrow"/>
        <family val="2"/>
        <charset val="1"/>
      </rPr>
      <t xml:space="preserve"> Cannot claim homeless shelter deduction &amp; SUA, but sometimes Homeless Shelter Deduction results in more aid. HH should select the more advantageous deduction. </t>
    </r>
  </si>
  <si>
    <r>
      <t>A1 (a). Gross Monthly Earned Income for Eligible HH Members</t>
    </r>
    <r>
      <rPr>
        <sz val="12"/>
        <color rgb="FFFF0000"/>
        <rFont val="Aptos Narrow"/>
        <family val="2"/>
      </rPr>
      <t xml:space="preserve"> Including Income of Sanctioned Ineligible</t>
    </r>
    <r>
      <rPr>
        <sz val="12"/>
        <rFont val="Aptos Narrow"/>
        <family val="2"/>
        <charset val="1"/>
      </rPr>
      <t>:</t>
    </r>
  </si>
  <si>
    <t xml:space="preserve">IF "NO" STOP HERE. UNLESS there is someone in the household who is Senior or Disabled. They have no gross income test and are eligible with a Gross Income ABOVE 200% as long as their assets are below Asset Test. </t>
  </si>
  <si>
    <r>
      <rPr>
        <sz val="12"/>
        <rFont val="Aptos Narrow"/>
        <family val="2"/>
        <charset val="1"/>
      </rPr>
      <t xml:space="preserve">Click </t>
    </r>
    <r>
      <rPr>
        <u/>
        <sz val="12"/>
        <color rgb="FF467886"/>
        <rFont val="Aptos Narrow"/>
        <family val="2"/>
        <charset val="1"/>
      </rPr>
      <t xml:space="preserve">here </t>
    </r>
    <r>
      <rPr>
        <sz val="12"/>
        <rFont val="Aptos Narrow"/>
        <family val="2"/>
        <charset val="1"/>
      </rPr>
      <t xml:space="preserve">for exemptions and deductions available to ineligible HH members. This calculator only pro-rates the earned income deduction and shelter deductions and does not automatically apply other deductions for non-HH members. </t>
    </r>
  </si>
  <si>
    <t>CalFresh Income Calculator: Valid from Oct 2024 - Sept 2025</t>
  </si>
  <si>
    <t xml:space="preserve">You must complete HH(a) through HH(c) for the rest of the calculator to work.  </t>
  </si>
  <si>
    <r>
      <rPr>
        <sz val="12"/>
        <rFont val="Aptos Narrow"/>
        <family val="2"/>
      </rPr>
      <t>Click</t>
    </r>
    <r>
      <rPr>
        <sz val="12"/>
        <color rgb="FF467886"/>
        <rFont val="Aptos Narrow"/>
        <family val="2"/>
      </rPr>
      <t xml:space="preserve"> </t>
    </r>
    <r>
      <rPr>
        <u/>
        <sz val="12"/>
        <color rgb="FF467886"/>
        <rFont val="Aptos Narrow"/>
        <family val="2"/>
      </rPr>
      <t>here</t>
    </r>
    <r>
      <rPr>
        <sz val="12"/>
        <color rgb="FF467886"/>
        <rFont val="Aptos Narrow"/>
        <family val="2"/>
      </rPr>
      <t xml:space="preserve"> </t>
    </r>
    <r>
      <rPr>
        <sz val="12"/>
        <rFont val="Aptos Narrow"/>
        <family val="2"/>
      </rPr>
      <t xml:space="preserve">for Income rules. </t>
    </r>
    <r>
      <rPr>
        <b/>
        <sz val="12"/>
        <rFont val="Aptos Narrow"/>
        <family val="2"/>
      </rPr>
      <t>Do not include earned income for children 18 going to school at least part-time or for ineligible students.</t>
    </r>
    <r>
      <rPr>
        <sz val="12"/>
        <rFont val="Aptos Narrow"/>
        <family val="2"/>
      </rPr>
      <t xml:space="preserve">  </t>
    </r>
  </si>
  <si>
    <t>Homeless Shelter Deduction:</t>
  </si>
  <si>
    <r>
      <t xml:space="preserve">Is household homeless and paying </t>
    </r>
    <r>
      <rPr>
        <b/>
        <u/>
        <sz val="12"/>
        <color rgb="FFFF0000"/>
        <rFont val="Aptos Narrow"/>
        <family val="2"/>
      </rPr>
      <t>un-verified</t>
    </r>
    <r>
      <rPr>
        <b/>
        <sz val="12"/>
        <rFont val="Aptos Narrow"/>
        <family val="2"/>
        <charset val="1"/>
      </rPr>
      <t xml:space="preserve"> Shelter Costs?</t>
    </r>
  </si>
  <si>
    <t xml:space="preserve">If no, skip to Excess Shelter Deduction section. If yes, can still </t>
  </si>
  <si>
    <t>L.   Adjusted income = (G) - (H) - (I) - (J)</t>
  </si>
  <si>
    <t>[K. Cells Intentionally Blank]</t>
  </si>
  <si>
    <t>M3   Pro-rated Housing Costs: Prorated using numbers in B5 through B7 - if error, make sure B5 through B7 are filled in</t>
  </si>
  <si>
    <r>
      <t>Include</t>
    </r>
    <r>
      <rPr>
        <sz val="12"/>
        <rFont val="Aptos Narrow"/>
        <family val="2"/>
      </rPr>
      <t xml:space="preserve"> people on SSI and any ineligible noncitizen in "purchase &amp; prepare together" household.</t>
    </r>
    <r>
      <rPr>
        <b/>
        <i/>
        <u/>
        <sz val="12"/>
        <rFont val="Aptos Narrow"/>
        <family val="2"/>
        <charset val="1"/>
      </rPr>
      <t xml:space="preserve"> DO NOT Include</t>
    </r>
    <r>
      <rPr>
        <sz val="12"/>
        <rFont val="Aptos Narrow"/>
        <family val="2"/>
      </rPr>
      <t xml:space="preserve"> ineligible Students or people ineligible due to ABAWD status.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</si>
</sst>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&quot;Yes&quot;;&quot;Yes&quot;;&quot;No&quot;"/>
    <numFmt numFmtId="165" formatCode="_(\$* #,##0.00_);_(\$* \(#,##0.00\);_(\$* \-??_);_(@_)"/>
    <numFmt numFmtId="166" formatCode="\$#,##0.00"/>
    <numFmt numFmtId="167" formatCode="\$#,##0"/>
    <numFmt numFmtId="168" formatCode="&quot;$&quot;#,##0"/>
    <numFmt numFmtId="169" formatCode="&quot;$&quot;#,##0.00"/>
  </numFmts>
  <fonts count="29" x14ac:knownFonts="1">
    <font>
      <sz val="11"/>
      <color rgb="FF000000"/>
      <name val="Aptos Narrow"/>
      <family val="2"/>
      <charset val="1"/>
    </font>
    <font>
      <sz val="12"/>
      <name val="Aptos Narrow"/>
      <family val="2"/>
      <charset val="1"/>
    </font>
    <font>
      <b/>
      <sz val="14"/>
      <name val="Aptos Narrow"/>
      <family val="2"/>
      <charset val="1"/>
    </font>
    <font>
      <b/>
      <sz val="12"/>
      <name val="Aptos Narrow"/>
      <family val="2"/>
      <charset val="1"/>
    </font>
    <font>
      <b/>
      <sz val="12"/>
      <color rgb="FFFF0000"/>
      <name val="Aptos Narrow"/>
      <family val="2"/>
      <charset val="1"/>
    </font>
    <font>
      <b/>
      <i/>
      <u/>
      <sz val="12"/>
      <name val="Aptos Narrow"/>
      <family val="2"/>
      <charset val="1"/>
    </font>
    <font>
      <i/>
      <sz val="12"/>
      <name val="Aptos Narrow"/>
      <family val="2"/>
      <charset val="1"/>
    </font>
    <font>
      <sz val="12"/>
      <color rgb="FF000000"/>
      <name val="Aptos Narrow"/>
      <family val="2"/>
      <charset val="1"/>
    </font>
    <font>
      <u/>
      <sz val="11"/>
      <color rgb="FF467886"/>
      <name val="Aptos Narrow"/>
      <family val="2"/>
      <charset val="1"/>
    </font>
    <font>
      <b/>
      <sz val="12"/>
      <color rgb="FF000000"/>
      <name val="Aptos Narrow"/>
      <family val="2"/>
      <charset val="1"/>
    </font>
    <font>
      <i/>
      <sz val="12"/>
      <color rgb="FF000000"/>
      <name val="Aptos Narrow"/>
      <family val="2"/>
      <charset val="1"/>
    </font>
    <font>
      <sz val="12"/>
      <color rgb="FFFF0000"/>
      <name val="Aptos Narrow"/>
      <family val="2"/>
      <charset val="1"/>
    </font>
    <font>
      <sz val="12"/>
      <color rgb="FF000080"/>
      <name val="Aptos Narrow"/>
      <family val="2"/>
      <charset val="1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2"/>
      <color rgb="FFFF0000"/>
      <name val="Aptos Narrow"/>
      <family val="2"/>
    </font>
    <font>
      <i/>
      <sz val="12"/>
      <name val="Aptos Narrow"/>
      <family val="2"/>
      <scheme val="minor"/>
    </font>
    <font>
      <sz val="12"/>
      <name val="Aptos Narrow"/>
      <family val="2"/>
    </font>
    <font>
      <u/>
      <sz val="12"/>
      <color rgb="FF467886"/>
      <name val="Aptos Narrow"/>
      <family val="2"/>
    </font>
    <font>
      <sz val="12"/>
      <color rgb="FF467886"/>
      <name val="Aptos Narrow"/>
      <family val="2"/>
    </font>
    <font>
      <sz val="12"/>
      <color theme="0"/>
      <name val="Aptos Narrow"/>
      <family val="2"/>
      <scheme val="minor"/>
    </font>
    <font>
      <u/>
      <sz val="12"/>
      <color rgb="FF467886"/>
      <name val="Aptos Narrow"/>
      <family val="2"/>
      <charset val="1"/>
    </font>
    <font>
      <b/>
      <i/>
      <sz val="12"/>
      <color rgb="FFFF0000"/>
      <name val="Aptos Narrow"/>
      <family val="2"/>
    </font>
    <font>
      <b/>
      <sz val="12"/>
      <color rgb="FFFF0000"/>
      <name val="Aptos Narrow"/>
      <family val="2"/>
    </font>
    <font>
      <b/>
      <sz val="12"/>
      <name val="Aptos Narrow"/>
      <family val="2"/>
    </font>
    <font>
      <b/>
      <u/>
      <sz val="12"/>
      <color rgb="FFFF0000"/>
      <name val="Aptos Narrow"/>
      <family val="2"/>
    </font>
    <font>
      <b/>
      <i/>
      <u/>
      <sz val="12"/>
      <name val="Aptos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D9F2D0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CCCC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</borders>
  <cellStyleXfs count="2">
    <xf numFmtId="0" fontId="0" fillId="0" borderId="0"/>
    <xf numFmtId="0" fontId="8" fillId="0" borderId="0" applyBorder="0" applyProtection="0"/>
  </cellStyleXfs>
  <cellXfs count="9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5" fillId="0" borderId="0" xfId="0" applyFont="1" applyAlignment="1">
      <alignment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right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164" fontId="1" fillId="0" borderId="0" xfId="0" applyNumberFormat="1" applyFont="1" applyAlignment="1" applyProtection="1">
      <alignment horizontal="center"/>
      <protection locked="0"/>
    </xf>
    <xf numFmtId="165" fontId="1" fillId="2" borderId="1" xfId="0" applyNumberFormat="1" applyFont="1" applyFill="1" applyBorder="1" applyAlignment="1" applyProtection="1">
      <alignment horizontal="center"/>
      <protection locked="0"/>
    </xf>
    <xf numFmtId="166" fontId="1" fillId="3" borderId="3" xfId="0" applyNumberFormat="1" applyFont="1" applyFill="1" applyBorder="1"/>
    <xf numFmtId="0" fontId="1" fillId="0" borderId="0" xfId="0" applyFont="1" applyAlignment="1">
      <alignment horizontal="center"/>
    </xf>
    <xf numFmtId="0" fontId="9" fillId="0" borderId="4" xfId="0" applyFont="1" applyBorder="1" applyAlignment="1">
      <alignment horizontal="right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right"/>
    </xf>
    <xf numFmtId="167" fontId="7" fillId="3" borderId="4" xfId="0" applyNumberFormat="1" applyFont="1" applyFill="1" applyBorder="1" applyAlignment="1">
      <alignment vertical="top" wrapText="1"/>
    </xf>
    <xf numFmtId="167" fontId="1" fillId="3" borderId="4" xfId="0" applyNumberFormat="1" applyFont="1" applyFill="1" applyBorder="1"/>
    <xf numFmtId="0" fontId="3" fillId="6" borderId="0" xfId="0" applyFont="1" applyFill="1" applyAlignment="1">
      <alignment horizontal="right" wrapText="1"/>
    </xf>
    <xf numFmtId="0" fontId="3" fillId="6" borderId="0" xfId="0" applyFont="1" applyFill="1" applyAlignment="1">
      <alignment horizontal="center"/>
    </xf>
    <xf numFmtId="0" fontId="6" fillId="6" borderId="0" xfId="0" applyFont="1" applyFill="1" applyAlignment="1">
      <alignment horizontal="left"/>
    </xf>
    <xf numFmtId="0" fontId="3" fillId="6" borderId="0" xfId="0" applyFont="1" applyFill="1" applyAlignment="1">
      <alignment wrapText="1"/>
    </xf>
    <xf numFmtId="0" fontId="1" fillId="0" borderId="0" xfId="0" applyFont="1" applyAlignment="1">
      <alignment horizontal="right" wrapText="1"/>
    </xf>
    <xf numFmtId="16" fontId="7" fillId="4" borderId="4" xfId="0" applyNumberFormat="1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/>
    </xf>
    <xf numFmtId="167" fontId="1" fillId="3" borderId="6" xfId="0" applyNumberFormat="1" applyFont="1" applyFill="1" applyBorder="1"/>
    <xf numFmtId="165" fontId="1" fillId="2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left" wrapText="1"/>
    </xf>
    <xf numFmtId="166" fontId="1" fillId="2" borderId="1" xfId="0" applyNumberFormat="1" applyFont="1" applyFill="1" applyBorder="1" applyProtection="1">
      <protection locked="0"/>
    </xf>
    <xf numFmtId="0" fontId="11" fillId="0" borderId="0" xfId="0" applyFont="1" applyAlignment="1">
      <alignment wrapText="1"/>
    </xf>
    <xf numFmtId="166" fontId="1" fillId="0" borderId="0" xfId="0" applyNumberFormat="1" applyFont="1"/>
    <xf numFmtId="0" fontId="9" fillId="7" borderId="4" xfId="0" applyFont="1" applyFill="1" applyBorder="1" applyAlignment="1">
      <alignment horizontal="right" wrapText="1"/>
    </xf>
    <xf numFmtId="167" fontId="1" fillId="3" borderId="0" xfId="0" applyNumberFormat="1" applyFont="1" applyFill="1" applyAlignment="1">
      <alignment horizontal="center"/>
    </xf>
    <xf numFmtId="0" fontId="3" fillId="0" borderId="4" xfId="0" applyFont="1" applyBorder="1" applyAlignment="1">
      <alignment horizontal="right" wrapText="1"/>
    </xf>
    <xf numFmtId="0" fontId="7" fillId="0" borderId="0" xfId="0" applyFont="1" applyAlignment="1">
      <alignment wrapText="1"/>
    </xf>
    <xf numFmtId="0" fontId="9" fillId="0" borderId="4" xfId="0" applyFont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1" fillId="6" borderId="0" xfId="0" applyFont="1" applyFill="1" applyAlignment="1">
      <alignment wrapText="1"/>
    </xf>
    <xf numFmtId="166" fontId="1" fillId="6" borderId="1" xfId="0" applyNumberFormat="1" applyFont="1" applyFill="1" applyBorder="1"/>
    <xf numFmtId="0" fontId="1" fillId="6" borderId="0" xfId="0" applyFont="1" applyFill="1"/>
    <xf numFmtId="0" fontId="9" fillId="0" borderId="0" xfId="0" applyFont="1"/>
    <xf numFmtId="0" fontId="7" fillId="0" borderId="0" xfId="0" applyFont="1"/>
    <xf numFmtId="0" fontId="1" fillId="2" borderId="1" xfId="0" applyFont="1" applyFill="1" applyBorder="1" applyProtection="1">
      <protection locked="0"/>
    </xf>
    <xf numFmtId="0" fontId="7" fillId="6" borderId="0" xfId="0" applyFont="1" applyFill="1"/>
    <xf numFmtId="0" fontId="3" fillId="6" borderId="0" xfId="0" applyFont="1" applyFill="1" applyAlignment="1">
      <alignment horizontal="left" wrapText="1"/>
    </xf>
    <xf numFmtId="0" fontId="13" fillId="0" borderId="0" xfId="0" applyFont="1"/>
    <xf numFmtId="0" fontId="14" fillId="0" borderId="0" xfId="0" applyFont="1"/>
    <xf numFmtId="0" fontId="13" fillId="0" borderId="7" xfId="0" applyFont="1" applyBorder="1" applyAlignment="1">
      <alignment horizontal="right"/>
    </xf>
    <xf numFmtId="43" fontId="1" fillId="3" borderId="3" xfId="0" applyNumberFormat="1" applyFont="1" applyFill="1" applyBorder="1"/>
    <xf numFmtId="0" fontId="1" fillId="3" borderId="3" xfId="0" applyFont="1" applyFill="1" applyBorder="1" applyProtection="1">
      <protection locked="0"/>
    </xf>
    <xf numFmtId="0" fontId="15" fillId="0" borderId="3" xfId="0" applyFont="1" applyBorder="1" applyAlignment="1">
      <alignment vertical="center" wrapText="1"/>
    </xf>
    <xf numFmtId="166" fontId="15" fillId="0" borderId="0" xfId="0" applyNumberFormat="1" applyFont="1"/>
    <xf numFmtId="0" fontId="15" fillId="0" borderId="0" xfId="0" applyFont="1"/>
    <xf numFmtId="166" fontId="1" fillId="8" borderId="3" xfId="0" applyNumberFormat="1" applyFont="1" applyFill="1" applyBorder="1"/>
    <xf numFmtId="0" fontId="15" fillId="9" borderId="0" xfId="0" applyFont="1" applyFill="1"/>
    <xf numFmtId="0" fontId="15" fillId="9" borderId="3" xfId="0" applyFont="1" applyFill="1" applyBorder="1" applyAlignment="1">
      <alignment vertical="center" wrapText="1"/>
    </xf>
    <xf numFmtId="166" fontId="15" fillId="9" borderId="0" xfId="0" applyNumberFormat="1" applyFont="1" applyFill="1"/>
    <xf numFmtId="8" fontId="0" fillId="0" borderId="0" xfId="0" applyNumberFormat="1"/>
    <xf numFmtId="0" fontId="16" fillId="0" borderId="0" xfId="0" applyFont="1"/>
    <xf numFmtId="169" fontId="1" fillId="3" borderId="3" xfId="0" applyNumberFormat="1" applyFont="1" applyFill="1" applyBorder="1"/>
    <xf numFmtId="0" fontId="14" fillId="11" borderId="7" xfId="0" applyFont="1" applyFill="1" applyBorder="1" applyAlignment="1">
      <alignment horizontal="center" vertical="top" wrapText="1"/>
    </xf>
    <xf numFmtId="0" fontId="14" fillId="11" borderId="7" xfId="0" applyFont="1" applyFill="1" applyBorder="1" applyAlignment="1">
      <alignment horizontal="center" wrapText="1"/>
    </xf>
    <xf numFmtId="0" fontId="13" fillId="0" borderId="7" xfId="0" applyFont="1" applyBorder="1" applyAlignment="1">
      <alignment horizontal="right" wrapText="1"/>
    </xf>
    <xf numFmtId="168" fontId="14" fillId="9" borderId="7" xfId="0" applyNumberFormat="1" applyFont="1" applyFill="1" applyBorder="1" applyAlignment="1">
      <alignment vertical="top" wrapText="1"/>
    </xf>
    <xf numFmtId="0" fontId="1" fillId="10" borderId="0" xfId="0" applyFont="1" applyFill="1" applyAlignment="1">
      <alignment wrapText="1"/>
    </xf>
    <xf numFmtId="39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169" fontId="15" fillId="0" borderId="0" xfId="0" applyNumberFormat="1" applyFont="1"/>
    <xf numFmtId="0" fontId="22" fillId="10" borderId="0" xfId="0" applyFont="1" applyFill="1" applyAlignment="1">
      <alignment horizontal="center"/>
    </xf>
    <xf numFmtId="0" fontId="23" fillId="0" borderId="0" xfId="1" applyFont="1" applyBorder="1" applyProtection="1"/>
    <xf numFmtId="0" fontId="8" fillId="0" borderId="0" xfId="1"/>
    <xf numFmtId="0" fontId="25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1" applyFont="1" applyAlignment="1">
      <alignment wrapText="1"/>
    </xf>
    <xf numFmtId="0" fontId="23" fillId="0" borderId="0" xfId="1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167" fontId="7" fillId="3" borderId="5" xfId="0" applyNumberFormat="1" applyFont="1" applyFill="1" applyBorder="1" applyAlignment="1">
      <alignment horizontal="center" vertical="top" wrapText="1"/>
    </xf>
    <xf numFmtId="0" fontId="18" fillId="11" borderId="8" xfId="0" applyFont="1" applyFill="1" applyBorder="1" applyAlignment="1">
      <alignment horizontal="right" vertical="top"/>
    </xf>
    <xf numFmtId="0" fontId="18" fillId="11" borderId="0" xfId="0" applyFont="1" applyFill="1" applyAlignment="1">
      <alignment horizontal="right" vertical="top"/>
    </xf>
    <xf numFmtId="168" fontId="14" fillId="9" borderId="8" xfId="0" applyNumberFormat="1" applyFont="1" applyFill="1" applyBorder="1" applyAlignment="1">
      <alignment horizontal="center" vertical="top" wrapText="1"/>
    </xf>
    <xf numFmtId="168" fontId="14" fillId="9" borderId="0" xfId="0" applyNumberFormat="1" applyFont="1" applyFill="1" applyAlignment="1">
      <alignment horizontal="center" vertical="top" wrapText="1"/>
    </xf>
    <xf numFmtId="0" fontId="10" fillId="0" borderId="5" xfId="0" applyFont="1" applyBorder="1" applyAlignment="1">
      <alignment horizontal="left" vertical="top"/>
    </xf>
    <xf numFmtId="167" fontId="7" fillId="5" borderId="5" xfId="0" applyNumberFormat="1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righ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F2D0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6788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ss.ca.gov/Portals/9/Additional-Resources/Letters-and-Notices/ACINs/2024/I-45_24.pdf?ver=2024-09-23-131451-143" TargetMode="External"/><Relationship Id="rId2" Type="http://schemas.openxmlformats.org/officeDocument/2006/relationships/hyperlink" Target="http://calfresh.guide/special-eligibility-rules-for-the-elderly-or-disabled/" TargetMode="External"/><Relationship Id="rId1" Type="http://schemas.openxmlformats.org/officeDocument/2006/relationships/hyperlink" Target="https://calfresh.guide/what-is-income/" TargetMode="External"/><Relationship Id="rId5" Type="http://schemas.openxmlformats.org/officeDocument/2006/relationships/hyperlink" Target="https://calfresh.guide/pdf/Treatment%20of%20income%20and%20resources%20of%20persons%20excluded%20from%20the%20CalFresh%20household.pdf" TargetMode="External"/><Relationship Id="rId4" Type="http://schemas.openxmlformats.org/officeDocument/2006/relationships/hyperlink" Target="https://www.fns.usda.gov/snap/fy-2025-col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4"/>
  <sheetViews>
    <sheetView tabSelected="1" zoomScale="90" zoomScaleNormal="90" workbookViewId="0">
      <selection activeCell="A3" sqref="A3"/>
    </sheetView>
  </sheetViews>
  <sheetFormatPr defaultColWidth="8.54296875" defaultRowHeight="16" x14ac:dyDescent="0.4"/>
  <cols>
    <col min="1" max="1" width="81.453125" style="1" customWidth="1"/>
    <col min="2" max="2" width="11.54296875" customWidth="1"/>
    <col min="3" max="3" width="9.1796875" style="2" customWidth="1"/>
    <col min="4" max="4" width="51" style="3" customWidth="1"/>
    <col min="5" max="5" width="10.81640625" customWidth="1"/>
    <col min="6" max="12" width="7.26953125" customWidth="1"/>
  </cols>
  <sheetData>
    <row r="1" spans="1:5" ht="64.5" customHeight="1" x14ac:dyDescent="0.45">
      <c r="A1" s="4" t="s">
        <v>135</v>
      </c>
      <c r="B1" s="2"/>
      <c r="D1" s="86" t="s">
        <v>124</v>
      </c>
      <c r="E1" s="86"/>
    </row>
    <row r="2" spans="1:5" ht="48" customHeight="1" x14ac:dyDescent="0.4">
      <c r="A2" s="3"/>
      <c r="B2" s="2"/>
      <c r="D2" s="86" t="s">
        <v>0</v>
      </c>
      <c r="E2" s="86"/>
    </row>
    <row r="3" spans="1:5" x14ac:dyDescent="0.4">
      <c r="A3" s="5" t="s">
        <v>1</v>
      </c>
      <c r="B3" s="2"/>
      <c r="D3" s="5"/>
    </row>
    <row r="4" spans="1:5" x14ac:dyDescent="0.4">
      <c r="A4" s="6" t="s">
        <v>136</v>
      </c>
      <c r="B4" s="2"/>
      <c r="D4" s="73"/>
    </row>
    <row r="5" spans="1:5" ht="48" customHeight="1" x14ac:dyDescent="0.4">
      <c r="A5" s="7" t="s">
        <v>114</v>
      </c>
      <c r="B5" s="8"/>
      <c r="C5" s="9"/>
      <c r="D5" s="87" t="s">
        <v>144</v>
      </c>
      <c r="E5" s="88"/>
    </row>
    <row r="6" spans="1:5" ht="80" customHeight="1" x14ac:dyDescent="0.4">
      <c r="A6" s="7" t="s">
        <v>118</v>
      </c>
      <c r="B6" s="8"/>
      <c r="C6" s="9"/>
      <c r="D6" s="88" t="s">
        <v>125</v>
      </c>
      <c r="E6" s="88"/>
    </row>
    <row r="7" spans="1:5" ht="32" x14ac:dyDescent="0.4">
      <c r="A7" s="7" t="s">
        <v>117</v>
      </c>
      <c r="B7" s="11"/>
      <c r="C7" s="9"/>
      <c r="D7" s="85" t="s">
        <v>115</v>
      </c>
      <c r="E7" s="85"/>
    </row>
    <row r="8" spans="1:5" x14ac:dyDescent="0.4">
      <c r="A8" s="3"/>
      <c r="B8" s="12"/>
    </row>
    <row r="9" spans="1:5" x14ac:dyDescent="0.4">
      <c r="A9" s="13" t="s">
        <v>2</v>
      </c>
      <c r="B9" s="14"/>
      <c r="C9" s="15" t="s">
        <v>3</v>
      </c>
      <c r="D9" s="78" t="s">
        <v>116</v>
      </c>
    </row>
    <row r="10" spans="1:5" x14ac:dyDescent="0.4">
      <c r="A10" s="13"/>
      <c r="B10" s="16"/>
      <c r="C10" s="15"/>
      <c r="D10" s="5"/>
    </row>
    <row r="11" spans="1:5" x14ac:dyDescent="0.4">
      <c r="A11" s="13"/>
      <c r="B11" s="16"/>
      <c r="C11" s="15"/>
      <c r="D11" s="5"/>
    </row>
    <row r="12" spans="1:5" ht="52.5" customHeight="1" x14ac:dyDescent="0.4">
      <c r="A12" s="3" t="s">
        <v>132</v>
      </c>
      <c r="B12" s="17"/>
      <c r="D12" s="82" t="s">
        <v>137</v>
      </c>
      <c r="E12" s="82"/>
    </row>
    <row r="13" spans="1:5" ht="64.5" customHeight="1" thickBot="1" x14ac:dyDescent="0.45">
      <c r="A13" s="3" t="s">
        <v>4</v>
      </c>
      <c r="B13" s="17"/>
      <c r="D13" s="83" t="s">
        <v>134</v>
      </c>
      <c r="E13" s="83"/>
    </row>
    <row r="14" spans="1:5" ht="16.5" thickBot="1" x14ac:dyDescent="0.45">
      <c r="A14" s="5" t="s">
        <v>5</v>
      </c>
      <c r="B14" s="68" t="e">
        <f>B12+(B13*(B6/B5))</f>
        <v>#DIV/0!</v>
      </c>
      <c r="C14" s="2" t="s">
        <v>6</v>
      </c>
    </row>
    <row r="15" spans="1:5" x14ac:dyDescent="0.4">
      <c r="A15" s="3"/>
      <c r="B15" s="2"/>
    </row>
    <row r="16" spans="1:5" ht="48" customHeight="1" x14ac:dyDescent="0.4">
      <c r="A16" s="3" t="s">
        <v>113</v>
      </c>
      <c r="B16" s="17"/>
      <c r="D16" s="84" t="s">
        <v>7</v>
      </c>
      <c r="E16" s="84"/>
    </row>
    <row r="17" spans="1:22" ht="16.5" thickBot="1" x14ac:dyDescent="0.45">
      <c r="A17" s="3" t="s">
        <v>8</v>
      </c>
      <c r="B17" s="17"/>
    </row>
    <row r="18" spans="1:22" ht="16.5" thickBot="1" x14ac:dyDescent="0.45">
      <c r="A18" s="5" t="s">
        <v>9</v>
      </c>
      <c r="B18" s="18" t="e">
        <f>B16+(B17*(B6/B5))</f>
        <v>#DIV/0!</v>
      </c>
      <c r="C18" s="2" t="s">
        <v>10</v>
      </c>
      <c r="D18" s="10"/>
    </row>
    <row r="19" spans="1:22" x14ac:dyDescent="0.4">
      <c r="A19" s="3"/>
      <c r="B19" s="19"/>
    </row>
    <row r="20" spans="1:22" ht="16.5" thickBot="1" x14ac:dyDescent="0.45">
      <c r="A20" s="5" t="s">
        <v>11</v>
      </c>
      <c r="B20" s="17"/>
      <c r="C20" s="2" t="s">
        <v>12</v>
      </c>
      <c r="D20" s="5" t="s">
        <v>13</v>
      </c>
    </row>
    <row r="21" spans="1:22" ht="16.5" thickBot="1" x14ac:dyDescent="0.45">
      <c r="A21" s="3"/>
      <c r="B21" s="2"/>
      <c r="D21" s="20" t="s">
        <v>14</v>
      </c>
      <c r="E21" s="21">
        <v>1</v>
      </c>
      <c r="F21" s="21">
        <v>2</v>
      </c>
      <c r="G21" s="21">
        <v>3</v>
      </c>
      <c r="H21" s="22">
        <v>4</v>
      </c>
      <c r="I21" s="21">
        <v>5</v>
      </c>
      <c r="J21" s="21">
        <v>6</v>
      </c>
      <c r="K21" s="21">
        <v>7</v>
      </c>
      <c r="L21" s="22">
        <v>8</v>
      </c>
      <c r="M21" s="96" t="s">
        <v>15</v>
      </c>
      <c r="N21" s="96"/>
      <c r="O21" s="96"/>
      <c r="P21" s="96"/>
      <c r="S21" s="97"/>
      <c r="T21" s="97"/>
      <c r="U21" s="97"/>
      <c r="V21" s="97"/>
    </row>
    <row r="22" spans="1:22" ht="16.5" thickBot="1" x14ac:dyDescent="0.45">
      <c r="A22" s="5" t="s">
        <v>16</v>
      </c>
      <c r="B22" s="18" t="e">
        <f>((B14+B18)-B20)</f>
        <v>#DIV/0!</v>
      </c>
      <c r="C22" s="2" t="s">
        <v>17</v>
      </c>
      <c r="D22" s="23" t="s">
        <v>18</v>
      </c>
      <c r="E22" s="24">
        <v>2510</v>
      </c>
      <c r="F22" s="24">
        <v>3408</v>
      </c>
      <c r="G22" s="25">
        <v>4304</v>
      </c>
      <c r="H22" s="24">
        <v>5200</v>
      </c>
      <c r="I22" s="24">
        <v>6098</v>
      </c>
      <c r="J22" s="24">
        <v>6994</v>
      </c>
      <c r="K22" s="25">
        <v>7890</v>
      </c>
      <c r="L22" s="25">
        <v>8788</v>
      </c>
      <c r="M22" s="91">
        <v>898</v>
      </c>
      <c r="N22" s="91"/>
      <c r="O22" s="91"/>
      <c r="P22" s="91"/>
    </row>
    <row r="23" spans="1:22" x14ac:dyDescent="0.4">
      <c r="A23" s="3"/>
      <c r="B23" s="2"/>
    </row>
    <row r="24" spans="1:22" ht="80" x14ac:dyDescent="0.4">
      <c r="A24" s="26" t="s">
        <v>19</v>
      </c>
      <c r="B24" s="27" t="e">
        <f>IF(OR(AND(B22&lt;=E22,B5=E21),AND(B22&lt;=F22,B5=F21),AND(B22&lt;=G22,B5=G21),AND(B22&lt;=H22,B5=H21),AND(B22&lt;=I22,B5=I21),AND(B22&lt;=J22,B5=J21),AND(B22&lt;=K22,B5=K21),AND(B22&lt;=L22,B5=L21),AND(B22&lt;=(L22+((B5-L21)*M22)),B5&gt;L21)),"YES",IF(OR(B9="Yes",B9="Y"),"YES","NO"))</f>
        <v>#DIV/0!</v>
      </c>
      <c r="C24" s="28"/>
      <c r="D24" s="29" t="s">
        <v>133</v>
      </c>
    </row>
    <row r="25" spans="1:22" x14ac:dyDescent="0.4">
      <c r="A25" s="3"/>
      <c r="B25" s="2"/>
    </row>
    <row r="26" spans="1:22" x14ac:dyDescent="0.4">
      <c r="A26" s="5" t="s">
        <v>20</v>
      </c>
      <c r="B26" s="2"/>
    </row>
    <row r="27" spans="1:22" x14ac:dyDescent="0.4">
      <c r="A27" s="13"/>
      <c r="B27" s="2"/>
    </row>
    <row r="28" spans="1:22" ht="16.5" thickBot="1" x14ac:dyDescent="0.45">
      <c r="A28" s="30"/>
      <c r="B28" s="2"/>
    </row>
    <row r="29" spans="1:22" ht="16.5" thickBot="1" x14ac:dyDescent="0.45">
      <c r="A29" s="3" t="s">
        <v>21</v>
      </c>
      <c r="B29" s="18" t="e">
        <f>B14</f>
        <v>#DIV/0!</v>
      </c>
      <c r="C29" s="2" t="s">
        <v>22</v>
      </c>
    </row>
    <row r="30" spans="1:22" ht="16.5" thickBot="1" x14ac:dyDescent="0.45">
      <c r="A30" s="3"/>
      <c r="B30" s="2"/>
    </row>
    <row r="31" spans="1:22" ht="16.5" thickBot="1" x14ac:dyDescent="0.45">
      <c r="A31" s="3" t="s">
        <v>23</v>
      </c>
      <c r="B31" s="18" t="e">
        <f>B29*0.2</f>
        <v>#DIV/0!</v>
      </c>
      <c r="C31" s="2" t="s">
        <v>24</v>
      </c>
    </row>
    <row r="32" spans="1:22" ht="16.5" thickBot="1" x14ac:dyDescent="0.45">
      <c r="A32" s="3"/>
      <c r="B32" s="2"/>
    </row>
    <row r="33" spans="1:8" ht="16.5" thickBot="1" x14ac:dyDescent="0.45">
      <c r="A33" s="3" t="s">
        <v>25</v>
      </c>
      <c r="B33" s="18" t="e">
        <f>B29-B31</f>
        <v>#DIV/0!</v>
      </c>
      <c r="C33" s="2" t="s">
        <v>26</v>
      </c>
    </row>
    <row r="34" spans="1:8" ht="16.5" thickBot="1" x14ac:dyDescent="0.45">
      <c r="A34" s="3"/>
      <c r="B34" s="2"/>
    </row>
    <row r="35" spans="1:8" ht="16.5" thickBot="1" x14ac:dyDescent="0.45">
      <c r="A35" s="3" t="s">
        <v>27</v>
      </c>
      <c r="B35" s="57" t="e">
        <f>(B18+B33)-B20</f>
        <v>#DIV/0!</v>
      </c>
      <c r="C35" s="2" t="s">
        <v>28</v>
      </c>
      <c r="D35" s="2"/>
      <c r="E35" s="2" t="s">
        <v>122</v>
      </c>
      <c r="F35" s="2"/>
      <c r="G35" s="2"/>
      <c r="H35" s="2"/>
    </row>
    <row r="36" spans="1:8" ht="16.5" thickBot="1" x14ac:dyDescent="0.45">
      <c r="A36" s="3"/>
      <c r="B36" s="2"/>
      <c r="D36" s="20" t="s">
        <v>29</v>
      </c>
      <c r="E36" s="31" t="s">
        <v>30</v>
      </c>
      <c r="F36" s="21">
        <v>4</v>
      </c>
      <c r="G36" s="21">
        <v>5</v>
      </c>
      <c r="H36" s="32" t="s">
        <v>31</v>
      </c>
    </row>
    <row r="37" spans="1:8" ht="16.5" thickBot="1" x14ac:dyDescent="0.45">
      <c r="A37" s="3" t="s">
        <v>32</v>
      </c>
      <c r="B37" s="18">
        <f>IF(AND(B6&gt;0,B6&lt;F36),E37,IF(B6=F36,F37,IF(B6=G36,G37,IF(B6&gt;G36,H37,0))))</f>
        <v>0</v>
      </c>
      <c r="C37" s="2" t="s">
        <v>33</v>
      </c>
      <c r="D37" s="23" t="s">
        <v>34</v>
      </c>
      <c r="E37" s="24">
        <v>204</v>
      </c>
      <c r="F37" s="24">
        <v>217</v>
      </c>
      <c r="G37" s="24">
        <v>254</v>
      </c>
      <c r="H37" s="33">
        <v>291</v>
      </c>
    </row>
    <row r="38" spans="1:8" x14ac:dyDescent="0.4">
      <c r="A38" s="3"/>
      <c r="B38" s="2"/>
      <c r="D38" s="30"/>
    </row>
    <row r="39" spans="1:8" ht="32" x14ac:dyDescent="0.4">
      <c r="A39" s="3" t="s">
        <v>35</v>
      </c>
      <c r="B39" s="34"/>
      <c r="C39" s="2" t="s">
        <v>36</v>
      </c>
      <c r="D39" s="89" t="s">
        <v>37</v>
      </c>
      <c r="E39" s="89"/>
    </row>
    <row r="40" spans="1:8" x14ac:dyDescent="0.4">
      <c r="A40" s="3"/>
      <c r="B40" s="2"/>
    </row>
    <row r="41" spans="1:8" ht="32" customHeight="1" x14ac:dyDescent="0.4">
      <c r="A41" s="35" t="s">
        <v>38</v>
      </c>
      <c r="B41" s="36"/>
      <c r="D41" s="84" t="s">
        <v>120</v>
      </c>
      <c r="E41" s="84"/>
    </row>
    <row r="42" spans="1:8" ht="16.5" thickBot="1" x14ac:dyDescent="0.45">
      <c r="A42" s="3"/>
      <c r="B42" s="2"/>
    </row>
    <row r="43" spans="1:8" ht="16.5" thickBot="1" x14ac:dyDescent="0.45">
      <c r="A43" s="35" t="s">
        <v>39</v>
      </c>
      <c r="B43" s="18">
        <f>IF(AND(OR(B9="Yes",B9="Y"),B41&gt;35),B41-35,0)</f>
        <v>0</v>
      </c>
      <c r="D43" s="30"/>
    </row>
    <row r="44" spans="1:8" ht="32.5" customHeight="1" thickBot="1" x14ac:dyDescent="0.45">
      <c r="A44" s="3" t="s">
        <v>121</v>
      </c>
      <c r="B44" s="18">
        <f>IF(AND(OR(B9="Yes",B9="Y"),B41&gt;185.001),B41-35,IF(AND(OR(B9="Yes",B9="Y"),B41&gt;35.001),150,0))</f>
        <v>0</v>
      </c>
      <c r="C44" s="2" t="s">
        <v>40</v>
      </c>
      <c r="D44" s="84" t="s">
        <v>41</v>
      </c>
      <c r="E44" s="84"/>
    </row>
    <row r="45" spans="1:8" ht="32" hidden="1" customHeight="1" x14ac:dyDescent="0.4">
      <c r="A45" s="13" t="s">
        <v>139</v>
      </c>
      <c r="B45" s="8"/>
      <c r="C45" s="15" t="s">
        <v>3</v>
      </c>
      <c r="D45" s="89" t="s">
        <v>140</v>
      </c>
      <c r="E45" s="89"/>
    </row>
    <row r="46" spans="1:8" ht="16.5" hidden="1" thickBot="1" x14ac:dyDescent="0.45">
      <c r="A46" s="3"/>
      <c r="B46" s="2"/>
    </row>
    <row r="47" spans="1:8" ht="16.5" hidden="1" thickBot="1" x14ac:dyDescent="0.45">
      <c r="A47" s="3" t="s">
        <v>42</v>
      </c>
      <c r="B47" s="18">
        <f>IF(OR(B45="Yes",B45="Y"),E47,0)</f>
        <v>0</v>
      </c>
      <c r="C47" s="2" t="s">
        <v>43</v>
      </c>
      <c r="D47" s="35" t="s">
        <v>138</v>
      </c>
      <c r="E47" s="66">
        <v>190.3</v>
      </c>
    </row>
    <row r="48" spans="1:8" ht="48.5" hidden="1" customHeight="1" thickBot="1" x14ac:dyDescent="0.45">
      <c r="A48" s="3"/>
      <c r="B48" s="2"/>
      <c r="D48" s="90" t="s">
        <v>131</v>
      </c>
      <c r="E48" s="90"/>
    </row>
    <row r="49" spans="1:7" ht="20.5" customHeight="1" thickBot="1" x14ac:dyDescent="0.45">
      <c r="A49" s="3" t="s">
        <v>142</v>
      </c>
      <c r="B49" s="2"/>
      <c r="D49" s="81"/>
      <c r="E49" s="81"/>
    </row>
    <row r="50" spans="1:7" ht="16.5" thickBot="1" x14ac:dyDescent="0.45">
      <c r="A50" s="3" t="s">
        <v>141</v>
      </c>
      <c r="B50" s="18" t="e">
        <f>B35-B37-B39-B44-B47</f>
        <v>#DIV/0!</v>
      </c>
      <c r="C50" s="2" t="s">
        <v>44</v>
      </c>
    </row>
    <row r="51" spans="1:7" x14ac:dyDescent="0.4">
      <c r="A51" s="3"/>
      <c r="B51" s="2"/>
    </row>
    <row r="52" spans="1:7" x14ac:dyDescent="0.4">
      <c r="A52" s="5" t="s">
        <v>45</v>
      </c>
      <c r="B52" s="2"/>
    </row>
    <row r="53" spans="1:7" x14ac:dyDescent="0.4">
      <c r="A53" s="3"/>
      <c r="B53" s="2"/>
    </row>
    <row r="54" spans="1:7" ht="32" x14ac:dyDescent="0.4">
      <c r="A54" s="3" t="s">
        <v>46</v>
      </c>
      <c r="B54" s="74"/>
      <c r="C54" s="2" t="s">
        <v>47</v>
      </c>
      <c r="D54" s="85"/>
      <c r="E54" s="85"/>
    </row>
    <row r="55" spans="1:7" ht="32.5" thickBot="1" x14ac:dyDescent="0.45">
      <c r="A55" s="3" t="s">
        <v>48</v>
      </c>
      <c r="B55" s="75"/>
      <c r="C55" s="2" t="s">
        <v>49</v>
      </c>
    </row>
    <row r="56" spans="1:7" ht="32.5" thickBot="1" x14ac:dyDescent="0.45">
      <c r="A56" s="3" t="s">
        <v>143</v>
      </c>
      <c r="B56" s="58" t="str">
        <f>IF(AND(B5&gt;0,B6&gt;0),(B54*(B6)/(B6+B7))+B55*B6/(B5+B7),"")</f>
        <v/>
      </c>
      <c r="C56" s="2" t="s">
        <v>50</v>
      </c>
      <c r="D56" s="37"/>
    </row>
    <row r="57" spans="1:7" x14ac:dyDescent="0.4">
      <c r="A57" s="3"/>
      <c r="B57" s="38"/>
      <c r="D57" s="67"/>
    </row>
    <row r="58" spans="1:7" x14ac:dyDescent="0.4">
      <c r="A58" s="5" t="s">
        <v>51</v>
      </c>
      <c r="B58" s="38"/>
    </row>
    <row r="59" spans="1:7" ht="16.5" thickBot="1" x14ac:dyDescent="0.45"/>
    <row r="60" spans="1:7" ht="16.5" thickBot="1" x14ac:dyDescent="0.45">
      <c r="A60" s="3" t="s">
        <v>53</v>
      </c>
      <c r="B60" s="18">
        <f>E63</f>
        <v>645</v>
      </c>
      <c r="C60" s="2" t="s">
        <v>52</v>
      </c>
    </row>
    <row r="61" spans="1:7" ht="16.5" thickBot="1" x14ac:dyDescent="0.45">
      <c r="A61" s="3"/>
      <c r="B61" s="62"/>
    </row>
    <row r="62" spans="1:7" ht="16.5" thickBot="1" x14ac:dyDescent="0.45">
      <c r="A62" s="3" t="s">
        <v>54</v>
      </c>
      <c r="B62" s="68" t="e">
        <f>B56+B60</f>
        <v>#VALUE!</v>
      </c>
      <c r="C62" s="2" t="s">
        <v>55</v>
      </c>
      <c r="D62" s="39" t="s">
        <v>56</v>
      </c>
      <c r="E62" s="31" t="s">
        <v>57</v>
      </c>
      <c r="F62" s="31" t="s">
        <v>58</v>
      </c>
      <c r="G62" s="31" t="s">
        <v>59</v>
      </c>
    </row>
    <row r="63" spans="1:7" ht="16.5" thickBot="1" x14ac:dyDescent="0.45">
      <c r="A63" s="3"/>
      <c r="B63" s="2"/>
      <c r="D63" s="39" t="s">
        <v>60</v>
      </c>
      <c r="E63" s="24">
        <v>645</v>
      </c>
      <c r="F63" s="24">
        <v>166</v>
      </c>
      <c r="G63" s="24">
        <v>19</v>
      </c>
    </row>
    <row r="64" spans="1:7" ht="16.5" thickBot="1" x14ac:dyDescent="0.45">
      <c r="A64" s="3" t="s">
        <v>61</v>
      </c>
      <c r="B64" s="18" t="e">
        <f>0.5*B50</f>
        <v>#DIV/0!</v>
      </c>
      <c r="C64" s="2" t="s">
        <v>62</v>
      </c>
    </row>
    <row r="65" spans="1:16" ht="16.5" thickBot="1" x14ac:dyDescent="0.45">
      <c r="A65" s="3"/>
      <c r="B65" s="2"/>
    </row>
    <row r="66" spans="1:16" ht="16.5" thickBot="1" x14ac:dyDescent="0.45">
      <c r="A66" s="3" t="s">
        <v>63</v>
      </c>
      <c r="B66" s="18" t="e">
        <f>MAX(B62-B64,0)</f>
        <v>#VALUE!</v>
      </c>
      <c r="C66" s="2" t="s">
        <v>64</v>
      </c>
    </row>
    <row r="67" spans="1:16" ht="16.5" thickBot="1" x14ac:dyDescent="0.45">
      <c r="A67" s="3"/>
      <c r="B67" s="2"/>
    </row>
    <row r="68" spans="1:16" ht="16.5" thickBot="1" x14ac:dyDescent="0.45">
      <c r="A68" s="3" t="s">
        <v>65</v>
      </c>
      <c r="B68" s="18" t="e">
        <f>IF(OR(B9="Yes",B9="Y"),B66,IF(B66&lt;E68,B66,E68))</f>
        <v>#VALUE!</v>
      </c>
      <c r="C68" s="2" t="s">
        <v>66</v>
      </c>
      <c r="D68" s="30" t="s">
        <v>67</v>
      </c>
      <c r="E68" s="40">
        <v>712</v>
      </c>
      <c r="F68" s="2" t="s">
        <v>122</v>
      </c>
    </row>
    <row r="69" spans="1:16" ht="32" x14ac:dyDescent="0.4">
      <c r="A69" s="3" t="s">
        <v>68</v>
      </c>
      <c r="B69" s="2"/>
      <c r="D69" s="3" t="s">
        <v>69</v>
      </c>
      <c r="E69" s="2"/>
      <c r="F69" s="2"/>
    </row>
    <row r="70" spans="1:16" x14ac:dyDescent="0.4">
      <c r="A70" s="3" t="s">
        <v>70</v>
      </c>
      <c r="B70" s="2"/>
    </row>
    <row r="71" spans="1:16" x14ac:dyDescent="0.4">
      <c r="A71" s="3" t="s">
        <v>71</v>
      </c>
      <c r="B71" s="2"/>
    </row>
    <row r="72" spans="1:16" ht="32.5" thickBot="1" x14ac:dyDescent="0.45">
      <c r="A72" s="3"/>
      <c r="B72" s="2"/>
      <c r="D72" s="3" t="s">
        <v>72</v>
      </c>
      <c r="E72" s="2"/>
      <c r="F72" s="2"/>
      <c r="G72" s="2" t="s">
        <v>122</v>
      </c>
      <c r="H72" s="2"/>
      <c r="I72" s="2"/>
      <c r="J72" s="2"/>
      <c r="K72" s="2"/>
      <c r="L72" s="2"/>
      <c r="M72" s="2"/>
      <c r="N72" s="2"/>
      <c r="O72" s="2"/>
      <c r="P72" s="2"/>
    </row>
    <row r="73" spans="1:16" ht="16.5" thickBot="1" x14ac:dyDescent="0.45">
      <c r="A73" s="3" t="s">
        <v>73</v>
      </c>
      <c r="B73" s="2"/>
      <c r="D73" s="20" t="s">
        <v>29</v>
      </c>
      <c r="E73" s="21">
        <v>1</v>
      </c>
      <c r="F73" s="21">
        <v>2</v>
      </c>
      <c r="G73" s="21">
        <v>3</v>
      </c>
      <c r="H73" s="21">
        <v>4</v>
      </c>
      <c r="I73" s="21">
        <v>5</v>
      </c>
      <c r="J73" s="21">
        <v>6</v>
      </c>
      <c r="K73" s="21">
        <v>7</v>
      </c>
      <c r="L73" s="21">
        <v>8</v>
      </c>
      <c r="M73" s="98" t="s">
        <v>15</v>
      </c>
      <c r="N73" s="98"/>
      <c r="O73" s="98"/>
      <c r="P73" s="98"/>
    </row>
    <row r="74" spans="1:16" ht="16.5" thickBot="1" x14ac:dyDescent="0.45">
      <c r="A74" s="3" t="s">
        <v>74</v>
      </c>
      <c r="B74" s="18" t="e">
        <f>IF(OR(B45="Yes",B45="Y"),B50,B50-B68)</f>
        <v>#DIV/0!</v>
      </c>
      <c r="C74" s="2" t="s">
        <v>75</v>
      </c>
      <c r="D74" s="41" t="s">
        <v>76</v>
      </c>
      <c r="E74" s="24">
        <v>1255</v>
      </c>
      <c r="F74" s="24">
        <v>1704</v>
      </c>
      <c r="G74" s="24">
        <v>2152</v>
      </c>
      <c r="H74" s="24">
        <v>2600</v>
      </c>
      <c r="I74" s="24">
        <v>3049</v>
      </c>
      <c r="J74" s="24">
        <v>3497</v>
      </c>
      <c r="K74" s="24">
        <v>3945</v>
      </c>
      <c r="L74" s="24">
        <v>4394</v>
      </c>
      <c r="M74" s="91">
        <v>449</v>
      </c>
      <c r="N74" s="91"/>
      <c r="O74" s="91"/>
      <c r="P74" s="91"/>
    </row>
    <row r="75" spans="1:16" ht="16.5" thickBot="1" x14ac:dyDescent="0.45">
      <c r="A75" s="3"/>
      <c r="B75" s="2"/>
    </row>
    <row r="76" spans="1:16" ht="16.5" thickBot="1" x14ac:dyDescent="0.45">
      <c r="A76" s="26" t="s">
        <v>77</v>
      </c>
      <c r="B76" s="59" t="e">
        <f>IF(OR(AND(B74&lt;=E74,B6=E73),AND(B74&lt;=F74,B6=F73),AND(B74&lt;=G74,B6=G73),AND(B74&lt;=H74,B6=H73),AND(B74&lt;=I74,B6=I73),AND(B74&lt;=J74,B6=J73),AND(B74&lt;=K74,B6=K73),AND(B74&lt;=L74,B6=L73),AND(B74&lt;=(L74+((B74-L74)*M74)),B6&gt;L74)),"YES","NO")</f>
        <v>#DIV/0!</v>
      </c>
      <c r="C76" s="28"/>
      <c r="D76" s="29" t="s">
        <v>78</v>
      </c>
      <c r="E76" s="77"/>
    </row>
    <row r="77" spans="1:16" x14ac:dyDescent="0.4">
      <c r="A77" s="3"/>
      <c r="B77" s="2"/>
    </row>
    <row r="78" spans="1:16" x14ac:dyDescent="0.4">
      <c r="A78" s="5" t="s">
        <v>79</v>
      </c>
      <c r="B78" s="2"/>
      <c r="D78" s="42"/>
    </row>
    <row r="79" spans="1:16" ht="16.5" thickBot="1" x14ac:dyDescent="0.45">
      <c r="A79" s="3"/>
      <c r="B79" s="2"/>
    </row>
    <row r="80" spans="1:16" ht="16.5" thickBot="1" x14ac:dyDescent="0.45">
      <c r="A80" s="3" t="s">
        <v>80</v>
      </c>
      <c r="B80" s="18" t="e">
        <f>B74*0.3</f>
        <v>#DIV/0!</v>
      </c>
      <c r="C80" s="2" t="s">
        <v>81</v>
      </c>
    </row>
    <row r="81" spans="1:16" x14ac:dyDescent="0.4">
      <c r="A81" s="3"/>
      <c r="B81" s="2"/>
      <c r="D81" s="42"/>
    </row>
    <row r="82" spans="1:16" x14ac:dyDescent="0.4">
      <c r="A82" s="3" t="s">
        <v>82</v>
      </c>
      <c r="B82" s="60" t="e">
        <f>ROUNDUP(B80,0)</f>
        <v>#DIV/0!</v>
      </c>
      <c r="C82" s="2" t="s">
        <v>83</v>
      </c>
    </row>
    <row r="83" spans="1:16" ht="16.5" thickBot="1" x14ac:dyDescent="0.45">
      <c r="A83" s="3"/>
      <c r="B83" s="2"/>
      <c r="E83" s="2"/>
      <c r="F83" s="2"/>
      <c r="G83" s="2" t="s">
        <v>123</v>
      </c>
      <c r="H83" s="2"/>
      <c r="I83" s="2"/>
      <c r="J83" s="2"/>
      <c r="K83" s="2"/>
      <c r="L83" s="2"/>
      <c r="M83" s="2"/>
      <c r="N83" s="2"/>
      <c r="O83" s="2"/>
      <c r="P83" s="2"/>
    </row>
    <row r="84" spans="1:16" ht="16.5" thickBot="1" x14ac:dyDescent="0.45">
      <c r="A84" s="3" t="s">
        <v>84</v>
      </c>
      <c r="B84" s="76" t="b">
        <f>IF(B6=1,E85,IF(B6=2,F85,IF(B6=3,G85,IF(B6=4,H85,IF(B6=5,I85,IF(B6=6,J85,IF(B6=7, K85,IF(B6=8, L85,IF(B6&gt;8, L85+220*(B6-8))))))))))</f>
        <v>0</v>
      </c>
      <c r="C84" s="2" t="s">
        <v>85</v>
      </c>
      <c r="D84" s="43" t="s">
        <v>29</v>
      </c>
      <c r="E84" s="21">
        <v>1</v>
      </c>
      <c r="F84" s="21">
        <v>2</v>
      </c>
      <c r="G84" s="21">
        <v>3</v>
      </c>
      <c r="H84" s="21">
        <v>4</v>
      </c>
      <c r="I84" s="21">
        <v>5</v>
      </c>
      <c r="J84" s="21">
        <v>6</v>
      </c>
      <c r="K84" s="21">
        <v>7</v>
      </c>
      <c r="L84" s="21">
        <v>8</v>
      </c>
      <c r="M84" s="98" t="s">
        <v>15</v>
      </c>
      <c r="N84" s="98"/>
      <c r="O84" s="98"/>
      <c r="P84" s="98"/>
    </row>
    <row r="85" spans="1:16" ht="16.5" thickBot="1" x14ac:dyDescent="0.45">
      <c r="A85" s="44" t="s">
        <v>86</v>
      </c>
      <c r="B85" s="2"/>
      <c r="D85" s="43" t="s">
        <v>87</v>
      </c>
      <c r="E85" s="24">
        <v>292</v>
      </c>
      <c r="F85" s="24">
        <v>536</v>
      </c>
      <c r="G85" s="24">
        <v>768</v>
      </c>
      <c r="H85" s="24">
        <v>975</v>
      </c>
      <c r="I85" s="24">
        <v>1158</v>
      </c>
      <c r="J85" s="24">
        <v>1390</v>
      </c>
      <c r="K85" s="24">
        <v>1536</v>
      </c>
      <c r="L85" s="24">
        <v>1756</v>
      </c>
      <c r="M85" s="91">
        <v>220</v>
      </c>
      <c r="N85" s="91"/>
      <c r="O85" s="91"/>
      <c r="P85" s="91"/>
    </row>
    <row r="86" spans="1:16" ht="16.5" thickBot="1" x14ac:dyDescent="0.45">
      <c r="A86" s="44" t="s">
        <v>88</v>
      </c>
      <c r="B86" s="2"/>
    </row>
    <row r="87" spans="1:16" ht="16.5" thickBot="1" x14ac:dyDescent="0.45">
      <c r="A87" s="44" t="s">
        <v>89</v>
      </c>
      <c r="B87" s="18" t="e">
        <f>IF(B82&lt;0,B84,IF(B82&gt;B84,0,IF(B82&lt;B84,(B84-B82))))</f>
        <v>#DIV/0!</v>
      </c>
      <c r="C87" s="2" t="s">
        <v>90</v>
      </c>
    </row>
    <row r="88" spans="1:16" x14ac:dyDescent="0.4">
      <c r="A88" s="3"/>
      <c r="B88" s="2"/>
    </row>
    <row r="89" spans="1:16" ht="16.5" thickBot="1" x14ac:dyDescent="0.45">
      <c r="A89" s="3" t="s">
        <v>91</v>
      </c>
      <c r="B89" s="2"/>
      <c r="D89" s="45"/>
    </row>
    <row r="90" spans="1:16" ht="16.5" thickBot="1" x14ac:dyDescent="0.45">
      <c r="A90" s="3" t="s">
        <v>92</v>
      </c>
      <c r="B90" s="18">
        <f>IF(B6&gt;2,IF(OR(B87=1,B87=3,B87=5),B87+1,B87),0)</f>
        <v>0</v>
      </c>
      <c r="C90" s="2" t="s">
        <v>93</v>
      </c>
    </row>
    <row r="91" spans="1:16" ht="16.5" thickBot="1" x14ac:dyDescent="0.45">
      <c r="A91" s="3"/>
      <c r="B91" s="2"/>
      <c r="D91" s="45"/>
    </row>
    <row r="92" spans="1:16" ht="48.5" thickBot="1" x14ac:dyDescent="0.45">
      <c r="A92" s="3" t="s">
        <v>130</v>
      </c>
      <c r="B92" s="18">
        <f>IF(AND(OR(B6=1,B6=2)),IF(AND(B76="YES",B87&lt;19),23,B87),0)</f>
        <v>0</v>
      </c>
      <c r="C92" s="2" t="s">
        <v>94</v>
      </c>
      <c r="D92" s="5" t="s">
        <v>119</v>
      </c>
    </row>
    <row r="93" spans="1:16" x14ac:dyDescent="0.4">
      <c r="A93" s="3"/>
      <c r="B93" s="2"/>
    </row>
    <row r="94" spans="1:16" x14ac:dyDescent="0.4">
      <c r="A94" s="46" t="s">
        <v>95</v>
      </c>
      <c r="B94" s="47">
        <f>IF(OR(B6=1,B6=2),B92,B90)</f>
        <v>0</v>
      </c>
      <c r="C94" s="48" t="s">
        <v>96</v>
      </c>
      <c r="D94" s="46"/>
    </row>
    <row r="95" spans="1:16" x14ac:dyDescent="0.4">
      <c r="A95" s="3"/>
      <c r="B95" s="2"/>
    </row>
    <row r="96" spans="1:16" x14ac:dyDescent="0.4">
      <c r="A96" s="3"/>
      <c r="B96" s="2"/>
      <c r="C96" s="49"/>
    </row>
    <row r="97" spans="1:4" x14ac:dyDescent="0.4">
      <c r="A97" s="5" t="s">
        <v>97</v>
      </c>
      <c r="B97" s="2"/>
    </row>
    <row r="98" spans="1:4" x14ac:dyDescent="0.4">
      <c r="A98" s="3"/>
      <c r="B98" s="2"/>
      <c r="C98" s="50"/>
    </row>
    <row r="99" spans="1:4" x14ac:dyDescent="0.4">
      <c r="A99" s="3" t="s">
        <v>98</v>
      </c>
      <c r="B99" s="51"/>
      <c r="C99" s="2" t="s">
        <v>96</v>
      </c>
    </row>
    <row r="100" spans="1:4" x14ac:dyDescent="0.4">
      <c r="A100" s="3"/>
      <c r="B100" s="2"/>
    </row>
    <row r="101" spans="1:4" x14ac:dyDescent="0.4">
      <c r="A101" s="13" t="s">
        <v>99</v>
      </c>
      <c r="B101" s="51"/>
    </row>
    <row r="102" spans="1:4" ht="16.5" thickBot="1" x14ac:dyDescent="0.45">
      <c r="A102" s="3"/>
      <c r="B102" s="2"/>
      <c r="C102" s="50"/>
    </row>
    <row r="103" spans="1:4" ht="16.5" thickBot="1" x14ac:dyDescent="0.45">
      <c r="A103" s="3" t="s">
        <v>100</v>
      </c>
      <c r="B103" s="64">
        <f>B99-B101</f>
        <v>0</v>
      </c>
      <c r="C103" s="2" t="s">
        <v>101</v>
      </c>
    </row>
    <row r="104" spans="1:4" x14ac:dyDescent="0.4">
      <c r="A104" s="3"/>
      <c r="B104" s="2"/>
    </row>
    <row r="105" spans="1:4" x14ac:dyDescent="0.4">
      <c r="A105" s="3" t="s">
        <v>102</v>
      </c>
      <c r="B105" s="63">
        <f>B103/30</f>
        <v>0</v>
      </c>
      <c r="C105" s="50" t="s">
        <v>103</v>
      </c>
    </row>
    <row r="106" spans="1:4" x14ac:dyDescent="0.4">
      <c r="A106" s="3"/>
      <c r="B106" s="38"/>
    </row>
    <row r="107" spans="1:4" x14ac:dyDescent="0.4">
      <c r="A107" s="3" t="s">
        <v>104</v>
      </c>
      <c r="B107" s="63">
        <f>B105*B94</f>
        <v>0</v>
      </c>
      <c r="C107" s="2" t="s">
        <v>105</v>
      </c>
    </row>
    <row r="108" spans="1:4" ht="16.5" thickBot="1" x14ac:dyDescent="0.45">
      <c r="A108" s="3"/>
      <c r="B108" s="38"/>
      <c r="C108" s="50"/>
    </row>
    <row r="109" spans="1:4" ht="16.5" thickBot="1" x14ac:dyDescent="0.45">
      <c r="A109" s="3" t="s">
        <v>106</v>
      </c>
      <c r="B109" s="18">
        <f>B107</f>
        <v>0</v>
      </c>
      <c r="C109" s="2" t="s">
        <v>107</v>
      </c>
    </row>
    <row r="110" spans="1:4" x14ac:dyDescent="0.4">
      <c r="A110" s="3" t="s">
        <v>108</v>
      </c>
      <c r="B110" s="65">
        <f>ROUNDDOWN(B109, 0)</f>
        <v>0</v>
      </c>
      <c r="C110" s="2" t="s">
        <v>107</v>
      </c>
    </row>
    <row r="111" spans="1:4" x14ac:dyDescent="0.4">
      <c r="A111" s="3"/>
      <c r="B111" s="2"/>
    </row>
    <row r="112" spans="1:4" x14ac:dyDescent="0.4">
      <c r="A112" s="29" t="s">
        <v>109</v>
      </c>
      <c r="B112" s="47">
        <f>B110</f>
        <v>0</v>
      </c>
      <c r="C112" s="52"/>
      <c r="D112" s="46"/>
    </row>
    <row r="113" spans="1:16" x14ac:dyDescent="0.4">
      <c r="A113" s="3"/>
      <c r="B113" s="2"/>
    </row>
    <row r="114" spans="1:16" x14ac:dyDescent="0.4">
      <c r="A114" s="53" t="s">
        <v>110</v>
      </c>
      <c r="B114" s="47" t="b">
        <f>IF(B6=1,E118,IF(B6=2,F118,IF(B6=3,G118,IF(B6=4,H118,IF(B6=5,I118,IF(B6=6,J118,IF(B6=7, K118,IF(B6=8, L118,IF(B6&gt;8, L118+583*(B6-8))))))))))</f>
        <v>0</v>
      </c>
      <c r="C114" s="52"/>
      <c r="D114" s="46"/>
    </row>
    <row r="115" spans="1:16" x14ac:dyDescent="0.4">
      <c r="B115" s="61"/>
      <c r="C115" s="50"/>
    </row>
    <row r="116" spans="1:16" ht="16.5" thickBot="1" x14ac:dyDescent="0.45">
      <c r="A116" s="80"/>
      <c r="C116" s="50"/>
      <c r="D116" s="54" t="s">
        <v>111</v>
      </c>
      <c r="E116" s="55" t="s">
        <v>123</v>
      </c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</row>
    <row r="117" spans="1:16" ht="16.5" thickBot="1" x14ac:dyDescent="0.45">
      <c r="D117" s="71" t="s">
        <v>14</v>
      </c>
      <c r="E117" s="69">
        <v>1</v>
      </c>
      <c r="F117" s="69">
        <v>2</v>
      </c>
      <c r="G117" s="69">
        <v>3</v>
      </c>
      <c r="H117" s="70">
        <v>4</v>
      </c>
      <c r="I117" s="69">
        <v>5</v>
      </c>
      <c r="J117" s="69">
        <v>6</v>
      </c>
      <c r="K117" s="69">
        <v>7</v>
      </c>
      <c r="L117" s="70">
        <v>8</v>
      </c>
      <c r="M117" s="92" t="s">
        <v>15</v>
      </c>
      <c r="N117" s="93"/>
      <c r="O117" s="93"/>
      <c r="P117" s="93"/>
    </row>
    <row r="118" spans="1:16" ht="16.5" thickBot="1" x14ac:dyDescent="0.45">
      <c r="C118" s="50"/>
      <c r="D118" s="56" t="s">
        <v>112</v>
      </c>
      <c r="E118" s="72">
        <v>1632</v>
      </c>
      <c r="F118" s="72">
        <v>2215</v>
      </c>
      <c r="G118" s="72">
        <v>2798</v>
      </c>
      <c r="H118" s="72">
        <v>3380</v>
      </c>
      <c r="I118" s="72">
        <v>3963</v>
      </c>
      <c r="J118" s="72">
        <v>4546</v>
      </c>
      <c r="K118" s="72">
        <v>5129</v>
      </c>
      <c r="L118" s="72">
        <v>5712</v>
      </c>
      <c r="M118" s="94">
        <v>583</v>
      </c>
      <c r="N118" s="95"/>
      <c r="O118" s="95"/>
      <c r="P118" s="95"/>
    </row>
    <row r="120" spans="1:16" x14ac:dyDescent="0.4">
      <c r="A120" s="55" t="s">
        <v>126</v>
      </c>
    </row>
    <row r="121" spans="1:16" x14ac:dyDescent="0.4">
      <c r="A121" s="55" t="s">
        <v>127</v>
      </c>
    </row>
    <row r="122" spans="1:16" x14ac:dyDescent="0.4">
      <c r="A122" s="55"/>
    </row>
    <row r="123" spans="1:16" x14ac:dyDescent="0.4">
      <c r="A123" s="79" t="s">
        <v>128</v>
      </c>
    </row>
    <row r="124" spans="1:16" x14ac:dyDescent="0.4">
      <c r="A124" s="79" t="s">
        <v>129</v>
      </c>
    </row>
  </sheetData>
  <sheetProtection algorithmName="SHA-512" hashValue="449jGs7L2nTTofNOFi7B5qt+3G/WavM7Af8U2npH+mPSK7pN2DpdjmrfRL41S5uyGytcLMjVT8aPXZL6hS6DxQ==" saltValue="wYHthaOAOibRQgE6yi1Iig==" spinCount="100000" sheet="1" objects="1" scenarios="1"/>
  <mergeCells count="23">
    <mergeCell ref="M85:P85"/>
    <mergeCell ref="M117:P117"/>
    <mergeCell ref="M118:P118"/>
    <mergeCell ref="M21:P21"/>
    <mergeCell ref="S21:V21"/>
    <mergeCell ref="M22:P22"/>
    <mergeCell ref="M73:P73"/>
    <mergeCell ref="M74:P74"/>
    <mergeCell ref="M84:P84"/>
    <mergeCell ref="D12:E12"/>
    <mergeCell ref="D13:E13"/>
    <mergeCell ref="D16:E16"/>
    <mergeCell ref="D54:E54"/>
    <mergeCell ref="D1:E1"/>
    <mergeCell ref="D2:E2"/>
    <mergeCell ref="D5:E5"/>
    <mergeCell ref="D6:E6"/>
    <mergeCell ref="D7:E7"/>
    <mergeCell ref="D39:E39"/>
    <mergeCell ref="D41:E41"/>
    <mergeCell ref="D44:E44"/>
    <mergeCell ref="D45:E45"/>
    <mergeCell ref="D48:E48"/>
  </mergeCells>
  <hyperlinks>
    <hyperlink ref="D12" r:id="rId1" display="here" xr:uid="{289D68DA-2542-4663-874E-0DE7DE66CC55}"/>
    <hyperlink ref="D9" r:id="rId2" xr:uid="{59278725-544E-46BA-9157-4EF5C13BC791}"/>
    <hyperlink ref="A123" r:id="rId3" xr:uid="{C957975E-0604-42FB-9E46-43B00517B646}"/>
    <hyperlink ref="A124" r:id="rId4" xr:uid="{DA2D9022-AE0A-45C9-81C4-4246352C9D1C}"/>
    <hyperlink ref="D13" r:id="rId5" display="Click here for exemptions and deductions available to ineligible HH members. This calculator only pro-rates the earned income deuction and does not automatically calculate other deductions for non-HH members. " xr:uid="{C1B4FE85-5993-4168-9B0B-A7581323F19A}"/>
  </hyperlink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Jodie</dc:creator>
  <dc:description/>
  <cp:lastModifiedBy>Lisa Newstrom</cp:lastModifiedBy>
  <cp:revision>1</cp:revision>
  <dcterms:created xsi:type="dcterms:W3CDTF">2024-05-26T20:32:53Z</dcterms:created>
  <dcterms:modified xsi:type="dcterms:W3CDTF">2024-11-04T22:43:19Z</dcterms:modified>
  <dc:language>en-US</dc:language>
</cp:coreProperties>
</file>